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\OneDrive - Northeastern University\Desktop\final reports to nsf\QDs\excel files and website\"/>
    </mc:Choice>
  </mc:AlternateContent>
  <bookViews>
    <workbookView xWindow="0" yWindow="36" windowWidth="19152" windowHeight="8508"/>
  </bookViews>
  <sheets>
    <sheet name="HW prob 3" sheetId="1" r:id="rId1"/>
  </sheets>
  <definedNames>
    <definedName name="solver_adj" localSheetId="0" hidden="1">'HW prob 3'!$I$26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'HW prob 3'!$I$26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'HW prob 3'!$O$26</definedName>
    <definedName name="solver_pre" localSheetId="0" hidden="1">0.000001</definedName>
    <definedName name="solver_rel1" localSheetId="0" hidden="1">3</definedName>
    <definedName name="solver_rhs1" localSheetId="0" hidden="1">0.001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52511"/>
</workbook>
</file>

<file path=xl/calcChain.xml><?xml version="1.0" encoding="utf-8"?>
<calcChain xmlns="http://schemas.openxmlformats.org/spreadsheetml/2006/main">
  <c r="J30" i="1" l="1"/>
  <c r="J29" i="1"/>
  <c r="K29" i="1"/>
  <c r="J27" i="1"/>
  <c r="K27" i="1"/>
  <c r="N29" i="1"/>
  <c r="K28" i="1"/>
  <c r="N26" i="1"/>
  <c r="M26" i="1"/>
  <c r="J26" i="1"/>
  <c r="V36" i="1"/>
  <c r="D15" i="1"/>
  <c r="D13" i="1"/>
  <c r="J14" i="1"/>
  <c r="D16" i="1" l="1"/>
  <c r="K26" i="1"/>
  <c r="L26" i="1" s="1"/>
  <c r="J16" i="1"/>
  <c r="J15" i="1"/>
  <c r="J17" i="1" s="1"/>
  <c r="D17" i="1" l="1"/>
  <c r="K30" i="1"/>
  <c r="V37" i="1" l="1"/>
  <c r="Q27" i="1" l="1"/>
  <c r="Q28" i="1"/>
  <c r="Q29" i="1"/>
  <c r="Q30" i="1"/>
  <c r="Q31" i="1"/>
  <c r="Q32" i="1"/>
  <c r="Q26" i="1"/>
  <c r="K32" i="1"/>
  <c r="L32" i="1" s="1"/>
  <c r="M32" i="1" s="1"/>
  <c r="K31" i="1"/>
  <c r="L31" i="1" s="1"/>
  <c r="L30" i="1"/>
  <c r="L29" i="1"/>
  <c r="M29" i="1" s="1"/>
  <c r="L28" i="1"/>
  <c r="L27" i="1"/>
  <c r="N32" i="1" l="1"/>
  <c r="O32" i="1" s="1"/>
  <c r="J28" i="1"/>
  <c r="R27" i="1"/>
  <c r="T29" i="1"/>
  <c r="T31" i="1"/>
  <c r="U31" i="1" s="1"/>
  <c r="M31" i="1"/>
  <c r="W32" i="1"/>
  <c r="T32" i="1"/>
  <c r="U32" i="1" s="1"/>
  <c r="T30" i="1"/>
  <c r="U30" i="1" s="1"/>
  <c r="V31" i="1" s="1"/>
  <c r="M30" i="1"/>
  <c r="N30" i="1" s="1"/>
  <c r="W29" i="1"/>
  <c r="U29" i="1"/>
  <c r="V30" i="1" s="1"/>
  <c r="M28" i="1"/>
  <c r="T28" i="1"/>
  <c r="U28" i="1" s="1"/>
  <c r="T27" i="1"/>
  <c r="U27" i="1" s="1"/>
  <c r="V28" i="1" s="1"/>
  <c r="M27" i="1"/>
  <c r="N27" i="1" s="1"/>
  <c r="T26" i="1"/>
  <c r="U26" i="1" s="1"/>
  <c r="R26" i="1"/>
  <c r="V27" i="1" l="1"/>
  <c r="J31" i="1"/>
  <c r="J32" i="1" s="1"/>
  <c r="R32" i="1" s="1"/>
  <c r="R29" i="1"/>
  <c r="O29" i="1"/>
  <c r="V29" i="1"/>
  <c r="N31" i="1"/>
  <c r="O31" i="1" s="1"/>
  <c r="R28" i="1"/>
  <c r="W28" i="1"/>
  <c r="S28" i="1" s="1"/>
  <c r="N28" i="1"/>
  <c r="O28" i="1" s="1"/>
  <c r="V32" i="1"/>
  <c r="R30" i="1"/>
  <c r="R31" i="1"/>
  <c r="S32" i="1" s="1"/>
  <c r="W31" i="1"/>
  <c r="W30" i="1"/>
  <c r="O30" i="1"/>
  <c r="O27" i="1"/>
  <c r="W27" i="1"/>
  <c r="S27" i="1" s="1"/>
  <c r="W26" i="1"/>
  <c r="S26" i="1" s="1"/>
  <c r="O26" i="1"/>
  <c r="S29" i="1" l="1"/>
  <c r="S30" i="1"/>
  <c r="V34" i="1"/>
  <c r="V39" i="1" s="1"/>
  <c r="S31" i="1"/>
</calcChain>
</file>

<file path=xl/sharedStrings.xml><?xml version="1.0" encoding="utf-8"?>
<sst xmlns="http://schemas.openxmlformats.org/spreadsheetml/2006/main" count="110" uniqueCount="89">
  <si>
    <t>alpha =</t>
  </si>
  <si>
    <t xml:space="preserve">2.  use solver to vary the filter coefficient until the difference between the newly calculated coefficient and the initial coefficient is close to 0.  Or do manually.  </t>
  </si>
  <si>
    <t xml:space="preserve">3.  Repeat for each distance x.  </t>
  </si>
  <si>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>=</t>
    </r>
  </si>
  <si>
    <t>Dc =</t>
  </si>
  <si>
    <t>cm</t>
  </si>
  <si>
    <t>U =</t>
  </si>
  <si>
    <t>cm/hr</t>
  </si>
  <si>
    <t>Upore =</t>
  </si>
  <si>
    <t>m/s</t>
  </si>
  <si>
    <r>
      <rPr>
        <sz val="11"/>
        <color theme="1"/>
        <rFont val="Symbol"/>
        <family val="1"/>
        <charset val="2"/>
      </rPr>
      <t>r</t>
    </r>
    <r>
      <rPr>
        <sz val="11"/>
        <color theme="1"/>
        <rFont val="Calibri"/>
        <family val="2"/>
        <scheme val="minor"/>
      </rPr>
      <t>p =</t>
    </r>
  </si>
  <si>
    <t>g/cm^3</t>
  </si>
  <si>
    <t>Co =</t>
  </si>
  <si>
    <t>mg/L</t>
  </si>
  <si>
    <t>time =</t>
  </si>
  <si>
    <t>hr</t>
  </si>
  <si>
    <t>x</t>
  </si>
  <si>
    <t>C</t>
  </si>
  <si>
    <t>s</t>
  </si>
  <si>
    <t>e</t>
  </si>
  <si>
    <t>vary this</t>
  </si>
  <si>
    <t>calc</t>
  </si>
  <si>
    <t>actual</t>
  </si>
  <si>
    <t>new</t>
  </si>
  <si>
    <t>set target</t>
  </si>
  <si>
    <t>mg/l</t>
  </si>
  <si>
    <t>mg</t>
  </si>
  <si>
    <t>cm3/cm3</t>
  </si>
  <si>
    <t>g/cm3</t>
  </si>
  <si>
    <t>g</t>
  </si>
  <si>
    <t>l</t>
  </si>
  <si>
    <t>cell</t>
  </si>
  <si>
    <t>cm-1</t>
  </si>
  <si>
    <t>diff</t>
  </si>
  <si>
    <t>total mass particles</t>
  </si>
  <si>
    <t>NOTES</t>
  </si>
  <si>
    <r>
      <t xml:space="preserve">"actual </t>
    </r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" assumes maximum value cannot exceed initial porosity and will be initial porosity - 5% (due to fluid shearing)</t>
    </r>
  </si>
  <si>
    <t>Concentration in water phase C assumes Co is the concentration exiting the interval above it.  Therefore the z values is always 10 cm (here)</t>
  </si>
  <si>
    <t xml:space="preserve">Use SOLVER: </t>
  </si>
  <si>
    <r>
      <t>3.  The old</t>
    </r>
    <r>
      <rPr>
        <sz val="11"/>
        <color theme="1"/>
        <rFont val="Symbol"/>
        <family val="1"/>
        <charset val="2"/>
      </rPr>
      <t xml:space="preserve"> l</t>
    </r>
    <r>
      <rPr>
        <sz val="11"/>
        <color theme="1"/>
        <rFont val="Calibri"/>
        <family val="2"/>
        <scheme val="minor"/>
      </rPr>
      <t xml:space="preserve"> will be varied, C and </t>
    </r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and </t>
    </r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 xml:space="preserve"> calculated, then new</t>
    </r>
    <r>
      <rPr>
        <sz val="11"/>
        <color theme="1"/>
        <rFont val="Symbol"/>
        <family val="1"/>
        <charset val="2"/>
      </rPr>
      <t xml:space="preserve"> l</t>
    </r>
    <r>
      <rPr>
        <sz val="11"/>
        <color theme="1"/>
        <rFont val="Calibri"/>
        <family val="2"/>
        <scheme val="minor"/>
      </rPr>
      <t xml:space="preserve"> is updated.  This is repeated until the old and new </t>
    </r>
    <r>
      <rPr>
        <sz val="11"/>
        <color theme="1"/>
        <rFont val="Symbol"/>
        <family val="1"/>
        <charset val="2"/>
      </rPr>
      <t xml:space="preserve">l </t>
    </r>
    <r>
      <rPr>
        <sz val="11"/>
        <color theme="1"/>
        <rFont val="Calibri"/>
        <family val="2"/>
        <scheme val="minor"/>
      </rPr>
      <t xml:space="preserve">converge. </t>
    </r>
  </si>
  <si>
    <t>You can repeat this whole procedure for a new time</t>
  </si>
  <si>
    <t>average mass</t>
  </si>
  <si>
    <t>part. In water</t>
  </si>
  <si>
    <t>part. On media</t>
  </si>
  <si>
    <t>L/h</t>
  </si>
  <si>
    <t>cm^3/h</t>
  </si>
  <si>
    <t>mass particles entering</t>
  </si>
  <si>
    <t>percent removal</t>
  </si>
  <si>
    <t>%</t>
  </si>
  <si>
    <r>
      <t xml:space="preserve">1.  Set target cell as the difference cell (difference between new and old </t>
    </r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  <scheme val="minor"/>
      </rPr>
      <t xml:space="preserve">). </t>
    </r>
  </si>
  <si>
    <r>
      <t xml:space="preserve">2.  Vary the old </t>
    </r>
    <r>
      <rPr>
        <sz val="11"/>
        <color theme="1"/>
        <rFont val="Symbol"/>
        <family val="1"/>
        <charset val="2"/>
      </rPr>
      <t xml:space="preserve">l </t>
    </r>
    <r>
      <rPr>
        <sz val="11"/>
        <color theme="1"/>
        <rFont val="Calibri"/>
        <family val="2"/>
        <scheme val="minor"/>
      </rPr>
      <t xml:space="preserve">cell.  </t>
    </r>
  </si>
  <si>
    <t>1.  start with C = Co in cell E15.  Perform calculations in first row.  Pick a length of time of operation.</t>
  </si>
  <si>
    <t>PARTICLE TRANSPORT IN POROUS MEDIA</t>
  </si>
  <si>
    <t>I. Create a plot of particle concentration through media distance-- a type of particle breatkthrough curve</t>
  </si>
  <si>
    <t xml:space="preserve">II. Also calculated (automatically) is the concentration profile of particles on the media and the change in media porosity over distance. </t>
  </si>
  <si>
    <t>particle density</t>
  </si>
  <si>
    <t>influent particle conc.</t>
  </si>
  <si>
    <t>superficial velocity</t>
  </si>
  <si>
    <t>pore velocity</t>
  </si>
  <si>
    <t>media porosity</t>
  </si>
  <si>
    <t>media collector diameter</t>
  </si>
  <si>
    <t>Media properties</t>
  </si>
  <si>
    <t>Particle properties</t>
  </si>
  <si>
    <r>
      <t>h</t>
    </r>
    <r>
      <rPr>
        <vertAlign val="subscript"/>
        <sz val="10"/>
        <rFont val="Arial"/>
        <family val="2"/>
      </rPr>
      <t>I</t>
    </r>
  </si>
  <si>
    <r>
      <t>h</t>
    </r>
    <r>
      <rPr>
        <vertAlign val="subscript"/>
        <sz val="10"/>
        <rFont val="Arial"/>
        <family val="2"/>
      </rPr>
      <t>D</t>
    </r>
  </si>
  <si>
    <r>
      <t>h</t>
    </r>
    <r>
      <rPr>
        <vertAlign val="subscript"/>
        <sz val="10"/>
        <rFont val="Arial"/>
        <family val="2"/>
      </rPr>
      <t>S</t>
    </r>
  </si>
  <si>
    <r>
      <t>h</t>
    </r>
    <r>
      <rPr>
        <vertAlign val="subscript"/>
        <sz val="10"/>
        <rFont val="Arial"/>
        <family val="2"/>
      </rPr>
      <t>total</t>
    </r>
  </si>
  <si>
    <t>Water properties</t>
  </si>
  <si>
    <t>g/cm</t>
  </si>
  <si>
    <r>
      <t>r</t>
    </r>
    <r>
      <rPr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 =</t>
    </r>
  </si>
  <si>
    <t>liquid density</t>
  </si>
  <si>
    <t>temperature</t>
  </si>
  <si>
    <t>T =</t>
  </si>
  <si>
    <t>deg. C</t>
  </si>
  <si>
    <t>Dp =</t>
  </si>
  <si>
    <t>particle diameter</t>
  </si>
  <si>
    <t>Collector efficiencies</t>
  </si>
  <si>
    <t>Interception</t>
  </si>
  <si>
    <t>Diffusion</t>
  </si>
  <si>
    <t>Sedimentation</t>
  </si>
  <si>
    <t>Total collector efficiency</t>
  </si>
  <si>
    <t>column diameter</t>
  </si>
  <si>
    <t>column cross-sectional area</t>
  </si>
  <si>
    <t>cm^2</t>
  </si>
  <si>
    <t>flow rate</t>
  </si>
  <si>
    <t>Q=</t>
  </si>
  <si>
    <t>Input values in orange boxes</t>
  </si>
  <si>
    <t>attachment efficiency</t>
  </si>
  <si>
    <t>microns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</si>
</sst>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0.0000"/>
    <numFmt numFmtId="167" formatCode="0.0%"/>
    <numFmt numFmtId="168" formatCode="0.0E+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Symbol (AS)"/>
      <family val="1"/>
      <charset val="2"/>
    </font>
    <font>
      <vertAlign val="subscript"/>
      <sz val="10"/>
      <name val="Arial"/>
      <family val="2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/>
    <xf numFmtId="0" fontId="0" fillId="0" borderId="0" xfId="0" applyAlignment="1">
      <alignment horizontal="left"/>
    </xf>
    <xf numFmtId="167" fontId="0" fillId="0" borderId="0" xfId="0" applyNumberForma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168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/>
    <xf numFmtId="0" fontId="0" fillId="2" borderId="0" xfId="0" applyFill="1"/>
    <xf numFmtId="0" fontId="4" fillId="2" borderId="0" xfId="0" applyFont="1" applyFill="1" applyAlignment="1">
      <alignment horizontal="right"/>
    </xf>
    <xf numFmtId="2" fontId="0" fillId="2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69203849518811"/>
          <c:y val="5.0925925925925923E-2"/>
          <c:w val="0.77408573928258972"/>
          <c:h val="0.7435032079323418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'HW prob 3'!$H$26:$H$32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xVal>
          <c:yVal>
            <c:numRef>
              <c:f>'HW prob 3'!$J$26:$J$32</c:f>
              <c:numCache>
                <c:formatCode>0.0</c:formatCode>
                <c:ptCount val="7"/>
                <c:pt idx="0">
                  <c:v>500</c:v>
                </c:pt>
                <c:pt idx="1">
                  <c:v>245.82209873048257</c:v>
                </c:pt>
                <c:pt idx="2">
                  <c:v>133.56765098292519</c:v>
                </c:pt>
                <c:pt idx="3">
                  <c:v>77.83631518399865</c:v>
                </c:pt>
                <c:pt idx="4">
                  <c:v>46.740363139029228</c:v>
                </c:pt>
                <c:pt idx="5">
                  <c:v>28.634380132733671</c:v>
                </c:pt>
                <c:pt idx="6">
                  <c:v>17.896552533827649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226256"/>
        <c:axId val="418228608"/>
      </c:scatterChart>
      <c:valAx>
        <c:axId val="418226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along filter, x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28608"/>
        <c:crosses val="autoZero"/>
        <c:crossBetween val="midCat"/>
      </c:valAx>
      <c:valAx>
        <c:axId val="4182286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particles in water, C (mg/L)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8.270049577136191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26256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71188792483744"/>
          <c:y val="5.0925925925925923E-2"/>
          <c:w val="0.780065867562733"/>
          <c:h val="0.7435032079323418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'HW prob 3'!$H$26:$H$32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xVal>
          <c:yVal>
            <c:numRef>
              <c:f>'HW prob 3'!$U$26:$U$32</c:f>
              <c:numCache>
                <c:formatCode>0.00</c:formatCode>
                <c:ptCount val="7"/>
                <c:pt idx="0">
                  <c:v>0.36750000000000005</c:v>
                </c:pt>
                <c:pt idx="1">
                  <c:v>0.36750000000000005</c:v>
                </c:pt>
                <c:pt idx="2">
                  <c:v>0.22213269802910071</c:v>
                </c:pt>
                <c:pt idx="3">
                  <c:v>0.13181311508065457</c:v>
                </c:pt>
                <c:pt idx="4">
                  <c:v>8.1795866514012383E-2</c:v>
                </c:pt>
                <c:pt idx="5">
                  <c:v>5.2155068947743612E-2</c:v>
                </c:pt>
                <c:pt idx="6">
                  <c:v>3.4554876367986626E-2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223512"/>
        <c:axId val="418222336"/>
      </c:scatterChart>
      <c:valAx>
        <c:axId val="418223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along filter, x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22336"/>
        <c:crosses val="autoZero"/>
        <c:crossBetween val="midCat"/>
      </c:valAx>
      <c:valAx>
        <c:axId val="4182223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particles on media, </a:t>
                </a:r>
                <a:r>
                  <a:rPr lang="en-US">
                    <a:latin typeface="Symbol" panose="05050102010706020507" pitchFamily="18" charset="2"/>
                  </a:rPr>
                  <a:t>s</a:t>
                </a:r>
                <a:r>
                  <a:rPr lang="en-US"/>
                  <a:t> (g/cm3)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23512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24759405074369"/>
          <c:y val="5.0925925925925923E-2"/>
          <c:w val="0.81853018372703412"/>
          <c:h val="0.7435032079323418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'HW prob 3'!$H$26:$H$32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xVal>
          <c:yVal>
            <c:numRef>
              <c:f>'HW prob 3'!$M$26:$M$32</c:f>
              <c:numCache>
                <c:formatCode>0.000</c:formatCode>
                <c:ptCount val="7"/>
                <c:pt idx="0">
                  <c:v>4.9999999999999989E-2</c:v>
                </c:pt>
                <c:pt idx="1">
                  <c:v>4.9999999999999989E-2</c:v>
                </c:pt>
                <c:pt idx="2">
                  <c:v>0.18844504949609459</c:v>
                </c:pt>
                <c:pt idx="3">
                  <c:v>0.27446369992318614</c:v>
                </c:pt>
                <c:pt idx="4">
                  <c:v>0.32209917474855965</c:v>
                </c:pt>
                <c:pt idx="5">
                  <c:v>0.35032850576405372</c:v>
                </c:pt>
                <c:pt idx="6">
                  <c:v>0.36709059393525084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813880"/>
        <c:axId val="419814664"/>
      </c:scatterChart>
      <c:valAx>
        <c:axId val="419813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along filter, x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814664"/>
        <c:crosses val="autoZero"/>
        <c:crossBetween val="midCat"/>
      </c:valAx>
      <c:valAx>
        <c:axId val="4198146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porosity, </a:t>
                </a:r>
                <a:r>
                  <a:rPr lang="en-US">
                    <a:latin typeface="Symbol" panose="05050102010706020507" pitchFamily="18" charset="2"/>
                  </a:rPr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81388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18</xdr:row>
      <xdr:rowOff>95250</xdr:rowOff>
    </xdr:from>
    <xdr:to>
      <xdr:col>6</xdr:col>
      <xdr:colOff>137160</xdr:colOff>
      <xdr:row>33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480060</xdr:colOff>
      <xdr:row>42</xdr:row>
      <xdr:rowOff>38100</xdr:rowOff>
    </xdr:from>
    <xdr:to>
      <xdr:col>23</xdr:col>
      <xdr:colOff>198120</xdr:colOff>
      <xdr:row>57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45720</xdr:colOff>
      <xdr:row>41</xdr:row>
      <xdr:rowOff>175260</xdr:rowOff>
    </xdr:from>
    <xdr:to>
      <xdr:col>31</xdr:col>
      <xdr:colOff>45720</xdr:colOff>
      <xdr:row>56</xdr:row>
      <xdr:rowOff>175260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1"/>
  <sheetViews>
    <sheetView tabSelected="1" topLeftCell="A2" workbookViewId="0">
      <selection activeCell="K2" sqref="K2"/>
    </sheetView>
  </sheetViews>
  <sheetFormatPr defaultRowHeight="14.4"/>
  <cols>
    <col min="1" max="1" width="16.109375" customWidth="1"/>
    <col min="4" max="4" width="18.33203125" style="18" customWidth="1"/>
    <col min="15" max="15" width="13.21875" customWidth="1"/>
    <col min="16" max="16" width="16.33203125" customWidth="1"/>
    <col min="18" max="18" width="11.109375" customWidth="1"/>
    <col min="19" max="19" width="15.44140625" customWidth="1"/>
  </cols>
  <sheetData>
    <row r="1" spans="1:16">
      <c r="B1" s="18"/>
      <c r="C1" s="17" t="s">
        <v>52</v>
      </c>
      <c r="D1"/>
    </row>
    <row r="2" spans="1:16">
      <c r="B2" s="18"/>
      <c r="D2"/>
    </row>
    <row r="3" spans="1:16">
      <c r="B3" s="18"/>
      <c r="C3" s="1" t="s">
        <v>53</v>
      </c>
      <c r="D3"/>
    </row>
    <row r="4" spans="1:16">
      <c r="B4" s="18"/>
      <c r="C4" t="s">
        <v>51</v>
      </c>
      <c r="D4"/>
    </row>
    <row r="5" spans="1:16">
      <c r="B5" s="18"/>
      <c r="C5" t="s">
        <v>1</v>
      </c>
      <c r="D5"/>
    </row>
    <row r="6" spans="1:16">
      <c r="B6" s="18"/>
      <c r="C6" t="s">
        <v>2</v>
      </c>
      <c r="D6"/>
    </row>
    <row r="7" spans="1:16">
      <c r="B7" s="18"/>
      <c r="C7" s="23" t="s">
        <v>86</v>
      </c>
      <c r="D7" s="23"/>
      <c r="E7" s="23"/>
    </row>
    <row r="8" spans="1:16">
      <c r="B8" s="18"/>
      <c r="C8" s="22" t="s">
        <v>61</v>
      </c>
      <c r="D8"/>
      <c r="I8" s="22" t="s">
        <v>62</v>
      </c>
      <c r="N8" s="22" t="s">
        <v>67</v>
      </c>
    </row>
    <row r="9" spans="1:16">
      <c r="B9" s="18" t="s">
        <v>87</v>
      </c>
      <c r="C9" t="s">
        <v>0</v>
      </c>
      <c r="D9">
        <v>1</v>
      </c>
      <c r="G9" s="23"/>
      <c r="H9" s="24" t="s">
        <v>75</v>
      </c>
      <c r="I9" s="23" t="s">
        <v>74</v>
      </c>
      <c r="J9" s="25">
        <v>20</v>
      </c>
      <c r="K9" s="23" t="s">
        <v>88</v>
      </c>
      <c r="M9" s="24" t="s">
        <v>71</v>
      </c>
      <c r="N9" s="23" t="s">
        <v>72</v>
      </c>
      <c r="O9" s="23">
        <v>25</v>
      </c>
      <c r="P9" s="23" t="s">
        <v>73</v>
      </c>
    </row>
    <row r="10" spans="1:16">
      <c r="A10" s="23"/>
      <c r="B10" s="24" t="s">
        <v>59</v>
      </c>
      <c r="C10" s="23" t="s">
        <v>3</v>
      </c>
      <c r="D10" s="23">
        <v>0.4</v>
      </c>
      <c r="E10" s="23"/>
      <c r="G10" s="23"/>
      <c r="H10" s="24" t="s">
        <v>55</v>
      </c>
      <c r="I10" s="23" t="s">
        <v>10</v>
      </c>
      <c r="J10" s="23">
        <v>1.05</v>
      </c>
      <c r="K10" s="23" t="s">
        <v>11</v>
      </c>
      <c r="M10" s="18" t="s">
        <v>70</v>
      </c>
      <c r="N10" s="19" t="s">
        <v>69</v>
      </c>
      <c r="O10">
        <v>1</v>
      </c>
      <c r="P10" t="s">
        <v>68</v>
      </c>
    </row>
    <row r="11" spans="1:16">
      <c r="A11" s="23"/>
      <c r="B11" s="24" t="s">
        <v>60</v>
      </c>
      <c r="C11" s="23" t="s">
        <v>4</v>
      </c>
      <c r="D11" s="23">
        <v>0.05</v>
      </c>
      <c r="E11" s="23" t="s">
        <v>5</v>
      </c>
      <c r="G11" s="23"/>
      <c r="H11" s="24" t="s">
        <v>56</v>
      </c>
      <c r="I11" s="23" t="s">
        <v>12</v>
      </c>
      <c r="J11" s="23">
        <v>500</v>
      </c>
      <c r="K11" s="23" t="s">
        <v>13</v>
      </c>
    </row>
    <row r="12" spans="1:16">
      <c r="A12" s="23"/>
      <c r="B12" s="24" t="s">
        <v>81</v>
      </c>
      <c r="C12" s="23"/>
      <c r="D12" s="23">
        <v>40</v>
      </c>
      <c r="E12" s="23" t="s">
        <v>5</v>
      </c>
    </row>
    <row r="13" spans="1:16">
      <c r="B13" s="18" t="s">
        <v>82</v>
      </c>
      <c r="D13" s="14">
        <f>3.141592*0.25*D12*D12</f>
        <v>1256.6368</v>
      </c>
      <c r="E13" t="s">
        <v>83</v>
      </c>
      <c r="I13" s="22" t="s">
        <v>76</v>
      </c>
    </row>
    <row r="14" spans="1:16" ht="15.6">
      <c r="A14" s="23"/>
      <c r="B14" s="24" t="s">
        <v>84</v>
      </c>
      <c r="C14" s="23" t="s">
        <v>85</v>
      </c>
      <c r="D14" s="23">
        <v>620</v>
      </c>
      <c r="E14" s="23" t="s">
        <v>44</v>
      </c>
      <c r="H14" s="18" t="s">
        <v>77</v>
      </c>
      <c r="I14" s="21" t="s">
        <v>63</v>
      </c>
      <c r="J14" s="20">
        <f>(3/2)*(J9/($D$11*10000))^2</f>
        <v>2.4000000000000002E-3</v>
      </c>
    </row>
    <row r="15" spans="1:16" ht="15.6">
      <c r="B15" s="18" t="s">
        <v>84</v>
      </c>
      <c r="C15" t="s">
        <v>85</v>
      </c>
      <c r="D15">
        <f>D14*1000</f>
        <v>620000</v>
      </c>
      <c r="E15" t="s">
        <v>45</v>
      </c>
      <c r="H15" s="18" t="s">
        <v>78</v>
      </c>
      <c r="I15" s="21" t="s">
        <v>64</v>
      </c>
      <c r="J15" s="20">
        <f>0.9*(((1.38E-23)*($O$9+273.15)/(0.00089*(J9/1000000)*($D$11/100)*($D$16/3600)))^(2/3))</f>
        <v>2.0242873524606238E-6</v>
      </c>
    </row>
    <row r="16" spans="1:16" ht="15.6">
      <c r="B16" s="18" t="s">
        <v>57</v>
      </c>
      <c r="C16" t="s">
        <v>6</v>
      </c>
      <c r="D16" s="14">
        <f>D15/D13</f>
        <v>493.38042622975865</v>
      </c>
      <c r="E16" t="s">
        <v>7</v>
      </c>
      <c r="H16" s="18" t="s">
        <v>79</v>
      </c>
      <c r="I16" s="21" t="s">
        <v>65</v>
      </c>
      <c r="J16" s="20">
        <f>(($J$10-$O$10)*1000000)*9.81*((J9/1000000)^2)/(18*(1000*0.00089)*$D$16/3600)</f>
        <v>8.9362863414280626E-5</v>
      </c>
      <c r="L16" s="1"/>
    </row>
    <row r="17" spans="2:45" ht="15.6">
      <c r="B17" s="18" t="s">
        <v>58</v>
      </c>
      <c r="C17" t="s">
        <v>8</v>
      </c>
      <c r="D17">
        <f>D16/100/60/60/D10</f>
        <v>3.4262529599288793E-3</v>
      </c>
      <c r="E17" t="s">
        <v>9</v>
      </c>
      <c r="H17" s="18" t="s">
        <v>80</v>
      </c>
      <c r="I17" s="21" t="s">
        <v>66</v>
      </c>
      <c r="J17" s="20">
        <f>SUM(J14:J16)</f>
        <v>2.4913871507667414E-3</v>
      </c>
      <c r="L17" s="1"/>
    </row>
    <row r="18" spans="2:45">
      <c r="B18" s="18"/>
      <c r="D18"/>
      <c r="L18" s="1"/>
    </row>
    <row r="19" spans="2:45">
      <c r="D19"/>
    </row>
    <row r="20" spans="2:45">
      <c r="D20"/>
      <c r="G20" s="18"/>
      <c r="Q20" s="1" t="s">
        <v>54</v>
      </c>
    </row>
    <row r="21" spans="2:45">
      <c r="D21"/>
      <c r="G21" s="18"/>
      <c r="AL21" s="1"/>
    </row>
    <row r="22" spans="2:45">
      <c r="D22"/>
      <c r="G22" s="18"/>
      <c r="H22" s="23" t="s">
        <v>14</v>
      </c>
      <c r="I22" s="23">
        <v>50</v>
      </c>
      <c r="J22" s="23" t="s">
        <v>15</v>
      </c>
      <c r="V22" s="2" t="s">
        <v>41</v>
      </c>
      <c r="X22" s="2"/>
      <c r="AL22" s="2"/>
      <c r="AM22" s="2"/>
      <c r="AN22" s="2"/>
      <c r="AO22" s="3"/>
      <c r="AP22" s="3"/>
      <c r="AQ22" s="3"/>
      <c r="AR22" s="3"/>
      <c r="AS22" s="2"/>
    </row>
    <row r="23" spans="2:45">
      <c r="D23"/>
      <c r="G23" s="18"/>
      <c r="I23" s="23" t="s">
        <v>20</v>
      </c>
      <c r="K23" s="2" t="s">
        <v>21</v>
      </c>
      <c r="L23" s="2" t="s">
        <v>22</v>
      </c>
      <c r="N23" t="s">
        <v>23</v>
      </c>
      <c r="O23" s="2" t="s">
        <v>24</v>
      </c>
      <c r="Q23" s="1"/>
      <c r="S23" s="2" t="s">
        <v>41</v>
      </c>
      <c r="V23" t="s">
        <v>43</v>
      </c>
      <c r="X23" s="2"/>
      <c r="AL23" s="4"/>
      <c r="AM23" s="4"/>
      <c r="AN23" s="4"/>
      <c r="AO23" s="4"/>
      <c r="AP23" s="4"/>
      <c r="AQ23" s="4"/>
      <c r="AR23" s="4"/>
      <c r="AS23" s="2"/>
    </row>
    <row r="24" spans="2:45">
      <c r="D24"/>
      <c r="F24" s="3"/>
      <c r="G24" s="18"/>
      <c r="H24" s="2" t="s">
        <v>16</v>
      </c>
      <c r="I24" s="3" t="s">
        <v>30</v>
      </c>
      <c r="J24" s="2" t="s">
        <v>17</v>
      </c>
      <c r="K24" s="3" t="s">
        <v>18</v>
      </c>
      <c r="L24" s="3" t="s">
        <v>18</v>
      </c>
      <c r="M24" s="3" t="s">
        <v>19</v>
      </c>
      <c r="N24" s="3" t="s">
        <v>30</v>
      </c>
      <c r="O24" s="2" t="s">
        <v>31</v>
      </c>
      <c r="Q24" s="2" t="s">
        <v>16</v>
      </c>
      <c r="R24" s="2" t="s">
        <v>17</v>
      </c>
      <c r="S24" s="2" t="s">
        <v>42</v>
      </c>
      <c r="T24" s="3" t="s">
        <v>18</v>
      </c>
      <c r="U24" s="3" t="s">
        <v>18</v>
      </c>
      <c r="V24" s="3" t="s">
        <v>18</v>
      </c>
      <c r="W24" s="3" t="s">
        <v>19</v>
      </c>
      <c r="X24" s="2"/>
      <c r="AL24" s="2"/>
      <c r="AM24" s="2"/>
      <c r="AN24" s="5"/>
      <c r="AO24" s="2"/>
      <c r="AP24" s="6"/>
      <c r="AQ24" s="2"/>
      <c r="AR24" s="2"/>
      <c r="AS24" s="2"/>
    </row>
    <row r="25" spans="2:45">
      <c r="D25"/>
      <c r="F25" s="11"/>
      <c r="G25" s="18"/>
      <c r="H25" s="4" t="s">
        <v>5</v>
      </c>
      <c r="I25" s="4" t="s">
        <v>32</v>
      </c>
      <c r="J25" s="4" t="s">
        <v>25</v>
      </c>
      <c r="K25" s="4" t="s">
        <v>27</v>
      </c>
      <c r="L25" s="4" t="s">
        <v>27</v>
      </c>
      <c r="M25" s="4"/>
      <c r="N25" s="4" t="s">
        <v>32</v>
      </c>
      <c r="O25" s="7" t="s">
        <v>33</v>
      </c>
      <c r="Q25" s="4" t="s">
        <v>5</v>
      </c>
      <c r="R25" s="4" t="s">
        <v>25</v>
      </c>
      <c r="S25" s="4" t="s">
        <v>26</v>
      </c>
      <c r="T25" s="4" t="s">
        <v>27</v>
      </c>
      <c r="U25" s="4" t="s">
        <v>28</v>
      </c>
      <c r="V25" s="4" t="s">
        <v>29</v>
      </c>
      <c r="W25" s="4"/>
      <c r="X25" s="2"/>
      <c r="AL25" s="2"/>
      <c r="AM25" s="2"/>
      <c r="AN25" s="5"/>
      <c r="AO25" s="2"/>
      <c r="AP25" s="6"/>
      <c r="AQ25" s="2"/>
      <c r="AR25" s="2"/>
      <c r="AS25" s="2"/>
    </row>
    <row r="26" spans="2:45">
      <c r="D26"/>
      <c r="F26" s="12"/>
      <c r="G26" s="18"/>
      <c r="H26" s="2">
        <v>0</v>
      </c>
      <c r="I26" s="8">
        <v>7.0999999999999994E-2</v>
      </c>
      <c r="J26" s="9">
        <f>$J$11*EXP(-I26*H26)</f>
        <v>500</v>
      </c>
      <c r="K26" s="8">
        <f>0+(I26*$D$16*(($J$11/1000)/($J$10*1000))*(EXP(-I26*H26))*($I$22-0))</f>
        <v>0.83404786338840153</v>
      </c>
      <c r="L26" s="8">
        <f>IF(K26&lt;$D$10,K26, ($D$10-0.05))</f>
        <v>0.35000000000000003</v>
      </c>
      <c r="M26" s="8">
        <f>$D$10-L26</f>
        <v>4.9999999999999989E-2</v>
      </c>
      <c r="N26" s="8">
        <f>$D$9*$J$17*(3/2)*(1-M26)/$D$11</f>
        <v>7.1004533796852121E-2</v>
      </c>
      <c r="O26" s="10">
        <f>ABS(N26-I26)</f>
        <v>4.5337968521269589E-6</v>
      </c>
      <c r="Q26" s="2">
        <f>H26</f>
        <v>0</v>
      </c>
      <c r="R26" s="9">
        <f>J26</f>
        <v>500</v>
      </c>
      <c r="S26" s="5">
        <f>R26*((10)*10000/1000*W26)</f>
        <v>2499.9999999999995</v>
      </c>
      <c r="T26" s="8">
        <f>L26</f>
        <v>0.35000000000000003</v>
      </c>
      <c r="U26" s="6">
        <f>T26*1.05</f>
        <v>0.36750000000000005</v>
      </c>
      <c r="V26" s="9"/>
      <c r="W26" s="8">
        <f>M26</f>
        <v>4.9999999999999989E-2</v>
      </c>
      <c r="X26" s="2"/>
      <c r="AL26" s="2"/>
      <c r="AM26" s="2"/>
      <c r="AN26" s="5"/>
      <c r="AO26" s="2"/>
      <c r="AP26" s="6"/>
      <c r="AQ26" s="2"/>
      <c r="AR26" s="2"/>
      <c r="AS26" s="2"/>
    </row>
    <row r="27" spans="2:45">
      <c r="D27"/>
      <c r="G27" s="18"/>
      <c r="H27" s="2">
        <v>10</v>
      </c>
      <c r="I27" s="8">
        <v>7.0999999999999994E-2</v>
      </c>
      <c r="J27" s="9">
        <f>J26*EXP(-I27*(H27-H26))</f>
        <v>245.82209873048257</v>
      </c>
      <c r="K27" s="8">
        <f>0+(I27*$D$16*(($J$11/1000)/($J$10*1000))*(EXP(-I27*H27))*($I$22-0))</f>
        <v>0.41005479243962328</v>
      </c>
      <c r="L27" s="8">
        <f>IF(K27&lt;$D$10,K27, ($D$10-0.05))</f>
        <v>0.35000000000000003</v>
      </c>
      <c r="M27" s="8">
        <f>$D$10-L27</f>
        <v>4.9999999999999989E-2</v>
      </c>
      <c r="N27" s="8">
        <f>$D$9*$J$17*(3/2)*(1-M27)/$D$11</f>
        <v>7.1004533796852121E-2</v>
      </c>
      <c r="O27" s="10">
        <f t="shared" ref="O27:O32" si="0">ABS(N27-I27)</f>
        <v>4.5337968521269589E-6</v>
      </c>
      <c r="Q27" s="2">
        <f t="shared" ref="Q27:Q32" si="1">H27</f>
        <v>10</v>
      </c>
      <c r="R27" s="9">
        <f>J27</f>
        <v>245.82209873048257</v>
      </c>
      <c r="S27" s="5">
        <f>AVERAGE(R26:R27)*((Q27-Q26)*10000/1000*W27)</f>
        <v>1864.5552468262063</v>
      </c>
      <c r="T27" s="8">
        <f t="shared" ref="T27:T32" si="2">L27</f>
        <v>0.35000000000000003</v>
      </c>
      <c r="U27" s="6">
        <f t="shared" ref="U27:U32" si="3">T27*1.05</f>
        <v>0.36750000000000005</v>
      </c>
      <c r="V27" s="9">
        <f>AVERAGE(U26:U27)*(Q27-Q26)*(3.14159*0.25*$D$12*$D$12)</f>
        <v>4618.1373000000003</v>
      </c>
      <c r="W27" s="8">
        <f t="shared" ref="W27:W32" si="4">M27</f>
        <v>4.9999999999999989E-2</v>
      </c>
      <c r="X27" s="2"/>
      <c r="AL27" s="2"/>
      <c r="AM27" s="2"/>
      <c r="AN27" s="5"/>
      <c r="AO27" s="2"/>
      <c r="AP27" s="6"/>
      <c r="AQ27" s="2"/>
      <c r="AR27" s="2"/>
      <c r="AS27" s="2"/>
    </row>
    <row r="28" spans="2:45">
      <c r="D28"/>
      <c r="G28" s="18"/>
      <c r="H28" s="2">
        <v>20</v>
      </c>
      <c r="I28" s="8">
        <v>6.0999999999999999E-2</v>
      </c>
      <c r="J28" s="9">
        <f>J27*EXP(-I28*(H28-H27))</f>
        <v>133.56765098292519</v>
      </c>
      <c r="K28" s="8">
        <f>0+(I28*$D$16*(($J$11/1000)/($J$10*1000))*(EXP(-I28*H28))*($I$22-0))</f>
        <v>0.21155495050390544</v>
      </c>
      <c r="L28" s="8">
        <f>IF(K28&lt;$D$10,K28, ($D$10-0.05))</f>
        <v>0.21155495050390544</v>
      </c>
      <c r="M28" s="8">
        <f>$D$10-L28</f>
        <v>0.18844504949609459</v>
      </c>
      <c r="N28" s="8">
        <f>$D$9*$J$17*(3/2)*(1-M28)/$D$11</f>
        <v>6.0656927274797066E-2</v>
      </c>
      <c r="O28" s="10">
        <f t="shared" si="0"/>
        <v>3.4307272520293225E-4</v>
      </c>
      <c r="Q28" s="2">
        <f t="shared" si="1"/>
        <v>20</v>
      </c>
      <c r="R28" s="9">
        <f>J28</f>
        <v>133.56765098292519</v>
      </c>
      <c r="S28" s="5">
        <f>AVERAGE(R27:R28)*((Q28-Q27)*10000/1000*W28)</f>
        <v>3574.7060081527029</v>
      </c>
      <c r="T28" s="8">
        <f t="shared" si="2"/>
        <v>0.21155495050390544</v>
      </c>
      <c r="U28" s="6">
        <f t="shared" si="3"/>
        <v>0.22213269802910071</v>
      </c>
      <c r="V28" s="9">
        <f>AVERAGE(U27:U28)*(Q28-Q27)*(3.14159*0.25*$D$12*$D$12)</f>
        <v>3704.7683756024853</v>
      </c>
      <c r="W28" s="8">
        <f>M28</f>
        <v>0.18844504949609459</v>
      </c>
      <c r="X28" s="2"/>
      <c r="AL28" s="2"/>
      <c r="AM28" s="2"/>
      <c r="AN28" s="5"/>
      <c r="AO28" s="2"/>
      <c r="AP28" s="6"/>
      <c r="AQ28" s="2"/>
      <c r="AR28" s="2"/>
      <c r="AS28" s="2"/>
    </row>
    <row r="29" spans="2:45">
      <c r="D29"/>
      <c r="G29" s="18"/>
      <c r="H29" s="2">
        <v>30</v>
      </c>
      <c r="I29" s="8">
        <v>5.3999999999999999E-2</v>
      </c>
      <c r="J29" s="9">
        <f>J28*EXP(-I29*(H29-H28))</f>
        <v>77.83631518399865</v>
      </c>
      <c r="K29" s="8">
        <f>0+(I29*$D$16*(($J$11/1000)/($J$10*1000))*(EXP(-I29*H29))*($I$22-0))</f>
        <v>0.12553630007681388</v>
      </c>
      <c r="L29" s="8">
        <f>IF(K29&lt;$D$10,K29, ($D$10-0.05))</f>
        <v>0.12553630007681388</v>
      </c>
      <c r="M29" s="8">
        <f>$D$10-L29</f>
        <v>0.27446369992318614</v>
      </c>
      <c r="N29" s="8">
        <f>$D$9*$J$17*(3/2)*(1-M29)/$D$11</f>
        <v>5.4227754462786493E-2</v>
      </c>
      <c r="O29" s="10">
        <f t="shared" si="0"/>
        <v>2.2775446278649331E-4</v>
      </c>
      <c r="Q29" s="2">
        <f t="shared" si="1"/>
        <v>30</v>
      </c>
      <c r="R29" s="9">
        <f t="shared" ref="R29:R32" si="5">J29</f>
        <v>77.83631518399865</v>
      </c>
      <c r="S29" s="5">
        <f>AVERAGE(R28:R29)*((Q29-Q28)*10000/1000*W29)</f>
        <v>2901.1357366304992</v>
      </c>
      <c r="T29" s="8">
        <f>L29</f>
        <v>0.12553630007681388</v>
      </c>
      <c r="U29" s="6">
        <f t="shared" si="3"/>
        <v>0.13181311508065457</v>
      </c>
      <c r="V29" s="9">
        <f>AVERAGE(U28:U29)*(Q29-Q28)*(3.14159*0.25*$D$12*$D$12)</f>
        <v>2223.9052540149519</v>
      </c>
      <c r="W29" s="8">
        <f t="shared" si="4"/>
        <v>0.27446369992318614</v>
      </c>
      <c r="X29" s="2"/>
      <c r="AL29" s="2"/>
      <c r="AM29" s="2"/>
      <c r="AN29" s="5"/>
      <c r="AO29" s="2"/>
      <c r="AP29" s="6"/>
      <c r="AQ29" s="2"/>
      <c r="AR29" s="2"/>
      <c r="AS29" s="2"/>
    </row>
    <row r="30" spans="2:45">
      <c r="D30"/>
      <c r="G30" s="18"/>
      <c r="H30" s="2">
        <v>40</v>
      </c>
      <c r="I30" s="8">
        <v>5.0999999999999997E-2</v>
      </c>
      <c r="J30" s="9">
        <f>J29*EXP(-I30*(H30-H29))</f>
        <v>46.740363139029228</v>
      </c>
      <c r="K30" s="8">
        <f>0+(I30*$D$16*(($J$11/1000)/($J$10*1000))*(EXP(-I30*H30))*($I$22-0))</f>
        <v>7.7900825251440362E-2</v>
      </c>
      <c r="L30" s="8">
        <f>IF(K30&lt;$D$10,K30, ($D$10-0.05))</f>
        <v>7.7900825251440362E-2</v>
      </c>
      <c r="M30" s="8">
        <f>$D$10-L30</f>
        <v>0.32209917474855965</v>
      </c>
      <c r="N30" s="8">
        <f>$D$9*$J$17*(3/2)*(1-M30)/$D$11</f>
        <v>5.0667402165768261E-2</v>
      </c>
      <c r="O30" s="10">
        <f t="shared" si="0"/>
        <v>3.3259783423173622E-4</v>
      </c>
      <c r="Q30" s="2">
        <f t="shared" si="1"/>
        <v>40</v>
      </c>
      <c r="R30" s="9">
        <f t="shared" si="5"/>
        <v>46.740363139029228</v>
      </c>
      <c r="S30" s="5">
        <f t="shared" ref="S30:S32" si="6">AVERAGE(R29:R30)*((Q30-Q29)*10000/1000*W30)</f>
        <v>2006.3022640382028</v>
      </c>
      <c r="T30" s="8">
        <f t="shared" si="2"/>
        <v>7.7900825251440362E-2</v>
      </c>
      <c r="U30" s="6">
        <f t="shared" si="3"/>
        <v>8.1795866514012383E-2</v>
      </c>
      <c r="V30" s="9">
        <f>AVERAGE(U29:U30)*(Q30-Q29)*(3.14159*0.25*$D$12*$D$12)</f>
        <v>1342.1436809759794</v>
      </c>
      <c r="W30" s="8">
        <f t="shared" si="4"/>
        <v>0.32209917474855965</v>
      </c>
      <c r="AL30" s="2"/>
      <c r="AM30" s="2"/>
      <c r="AN30" s="5"/>
      <c r="AO30" s="2"/>
      <c r="AP30" s="6"/>
      <c r="AQ30" s="2"/>
      <c r="AR30" s="2"/>
    </row>
    <row r="31" spans="2:45">
      <c r="D31"/>
      <c r="G31" s="18"/>
      <c r="H31" s="2">
        <v>50</v>
      </c>
      <c r="I31" s="8">
        <v>4.9000000000000002E-2</v>
      </c>
      <c r="J31" s="9">
        <f t="shared" ref="J29:J32" si="7">J30*EXP(-I31*(H31-H30))</f>
        <v>28.634380132733671</v>
      </c>
      <c r="K31" s="8">
        <f>0+(I31*$D$16*(($J$11/1000)/($J$10*1000))*(EXP(-I31*H31))*($I$22-0))</f>
        <v>4.9671494235946294E-2</v>
      </c>
      <c r="L31" s="8">
        <f>IF(K31&lt;$D$10,K31, ($D$10-0.05))</f>
        <v>4.9671494235946294E-2</v>
      </c>
      <c r="M31" s="8">
        <f>$D$10-L31</f>
        <v>0.35032850576405372</v>
      </c>
      <c r="N31" s="8">
        <f>$D$9*$J$17*(3/2)*(1-M31)/$D$11</f>
        <v>4.8557496388765969E-2</v>
      </c>
      <c r="O31" s="10">
        <f t="shared" si="0"/>
        <v>4.4250361123403248E-4</v>
      </c>
      <c r="Q31" s="2">
        <f t="shared" si="1"/>
        <v>50</v>
      </c>
      <c r="R31" s="9">
        <f t="shared" si="5"/>
        <v>28.634380132733671</v>
      </c>
      <c r="S31" s="5">
        <f t="shared" si="6"/>
        <v>1320.2960591372928</v>
      </c>
      <c r="T31" s="8">
        <f t="shared" si="2"/>
        <v>4.9671494235946294E-2</v>
      </c>
      <c r="U31" s="6">
        <f t="shared" si="3"/>
        <v>5.2155068947743612E-2</v>
      </c>
      <c r="V31" s="9">
        <f>AVERAGE(U30:U31)*(Q31-Q30)*(3.14159*0.25*$D$12*$D$12)</f>
        <v>841.63783867459597</v>
      </c>
      <c r="W31" s="8">
        <f t="shared" si="4"/>
        <v>0.35032850576405372</v>
      </c>
    </row>
    <row r="32" spans="2:45">
      <c r="D32"/>
      <c r="G32" s="18"/>
      <c r="H32" s="2">
        <v>60</v>
      </c>
      <c r="I32" s="8">
        <v>4.7E-2</v>
      </c>
      <c r="J32" s="9">
        <f t="shared" si="7"/>
        <v>17.896552533827649</v>
      </c>
      <c r="K32" s="8">
        <f>0+(I32*$D$16*(($J$11/1000)/($J$10*1000))*(EXP(-I32*H32))*($I$22-0))</f>
        <v>3.2909406064749167E-2</v>
      </c>
      <c r="L32" s="8">
        <f>IF(K32&lt;$D$10,K32, ($D$10-0.05))</f>
        <v>3.2909406064749167E-2</v>
      </c>
      <c r="M32" s="8">
        <f>$D$10-L32</f>
        <v>0.36709059393525084</v>
      </c>
      <c r="N32" s="8">
        <f>$D$9*$J$17*(3/2)*(1-M32)/$D$11</f>
        <v>4.7304670856073774E-2</v>
      </c>
      <c r="O32" s="10">
        <f t="shared" si="0"/>
        <v>3.0467085607377431E-4</v>
      </c>
      <c r="Q32" s="2">
        <f t="shared" si="1"/>
        <v>60</v>
      </c>
      <c r="R32" s="9">
        <f t="shared" si="5"/>
        <v>17.896552533827649</v>
      </c>
      <c r="S32" s="5">
        <f t="shared" si="6"/>
        <v>854.05338544645792</v>
      </c>
      <c r="T32" s="8">
        <f t="shared" si="2"/>
        <v>3.2909406064749167E-2</v>
      </c>
      <c r="U32" s="6">
        <f t="shared" si="3"/>
        <v>3.4554876367986626E-2</v>
      </c>
      <c r="V32" s="9">
        <f>AVERAGE(U31:U32)*(Q32-Q31)*(3.14159*0.25*$D$12*$D$12)</f>
        <v>544.81419420888983</v>
      </c>
      <c r="W32" s="8">
        <f t="shared" si="4"/>
        <v>0.36709059393525084</v>
      </c>
      <c r="AQ32" s="2"/>
    </row>
    <row r="33" spans="4:43">
      <c r="D33"/>
      <c r="G33" s="18"/>
      <c r="H33" s="11"/>
      <c r="I33" s="12"/>
      <c r="J33" s="13"/>
      <c r="K33" s="12"/>
      <c r="L33" s="12"/>
      <c r="M33" s="12"/>
      <c r="N33" s="12"/>
      <c r="O33" s="14"/>
    </row>
    <row r="34" spans="4:43">
      <c r="D34"/>
      <c r="G34" s="18"/>
      <c r="H34" s="11"/>
      <c r="I34" s="12"/>
      <c r="J34" s="13"/>
      <c r="K34" s="12"/>
      <c r="L34" s="12"/>
      <c r="M34" s="12"/>
      <c r="N34" s="12"/>
      <c r="O34" s="14"/>
      <c r="T34" t="s">
        <v>34</v>
      </c>
      <c r="V34" s="9">
        <f>SUM(V26:V32)</f>
        <v>13275.406643476903</v>
      </c>
      <c r="W34" t="s">
        <v>29</v>
      </c>
    </row>
    <row r="35" spans="4:43">
      <c r="D35"/>
      <c r="G35" s="18"/>
      <c r="H35" s="2" t="s">
        <v>35</v>
      </c>
      <c r="I35" s="2"/>
      <c r="J35" s="2"/>
      <c r="K35" s="2"/>
      <c r="L35" s="2"/>
      <c r="M35" s="2"/>
      <c r="N35" s="2"/>
    </row>
    <row r="36" spans="4:43">
      <c r="D36"/>
      <c r="G36" s="18"/>
      <c r="H36" s="15" t="s">
        <v>36</v>
      </c>
      <c r="I36" s="2"/>
      <c r="J36" s="2"/>
      <c r="K36" s="2"/>
      <c r="L36" s="2"/>
      <c r="M36" s="2"/>
      <c r="N36" s="2"/>
      <c r="T36" t="s">
        <v>46</v>
      </c>
      <c r="V36">
        <f>J11*I22*D14</f>
        <v>15500000</v>
      </c>
      <c r="W36" t="s">
        <v>26</v>
      </c>
    </row>
    <row r="37" spans="4:43">
      <c r="D37"/>
      <c r="G37" s="18"/>
      <c r="H37" s="15" t="s">
        <v>37</v>
      </c>
      <c r="I37" s="2"/>
      <c r="J37" s="2"/>
      <c r="K37" s="2"/>
      <c r="L37" s="2"/>
      <c r="M37" s="2"/>
      <c r="N37" s="2"/>
      <c r="V37" s="14">
        <f>V36/1000</f>
        <v>15500</v>
      </c>
      <c r="W37" t="s">
        <v>29</v>
      </c>
    </row>
    <row r="38" spans="4:43">
      <c r="D38"/>
      <c r="G38" s="18"/>
      <c r="H38" s="15" t="s">
        <v>38</v>
      </c>
      <c r="I38" s="8"/>
      <c r="J38" s="9"/>
      <c r="K38" s="8"/>
      <c r="L38" s="8"/>
      <c r="M38" s="8"/>
      <c r="N38" s="8"/>
    </row>
    <row r="39" spans="4:43">
      <c r="D39"/>
      <c r="G39" s="18"/>
      <c r="H39" s="15" t="s">
        <v>49</v>
      </c>
      <c r="I39" s="2"/>
      <c r="J39" s="2"/>
      <c r="K39" s="2"/>
      <c r="L39" s="2"/>
      <c r="M39" s="2"/>
      <c r="N39" s="2"/>
      <c r="T39" t="s">
        <v>47</v>
      </c>
      <c r="V39" s="14">
        <f>100*(V34)/V37</f>
        <v>85.647784796625174</v>
      </c>
      <c r="W39" t="s">
        <v>48</v>
      </c>
    </row>
    <row r="40" spans="4:43">
      <c r="D40"/>
      <c r="G40" s="18"/>
      <c r="H40" s="15" t="s">
        <v>50</v>
      </c>
      <c r="I40" s="2"/>
      <c r="J40" s="2"/>
      <c r="K40" s="2"/>
      <c r="L40" s="2"/>
      <c r="M40" s="2"/>
      <c r="N40" s="2"/>
    </row>
    <row r="41" spans="4:43">
      <c r="D41"/>
      <c r="G41" s="18"/>
      <c r="H41" s="15" t="s">
        <v>39</v>
      </c>
      <c r="I41" s="2"/>
      <c r="J41" s="2"/>
      <c r="K41" s="2"/>
      <c r="L41" s="2"/>
      <c r="M41" s="2"/>
      <c r="N41" s="2"/>
    </row>
    <row r="42" spans="4:43">
      <c r="D42"/>
      <c r="G42" s="18"/>
      <c r="H42" s="15" t="s">
        <v>40</v>
      </c>
      <c r="I42" s="2"/>
      <c r="J42" s="2"/>
      <c r="K42" s="2"/>
      <c r="L42" s="2"/>
      <c r="M42" s="2"/>
      <c r="N42" s="2"/>
      <c r="V42" s="16"/>
      <c r="AQ42" s="16"/>
    </row>
    <row r="43" spans="4:43">
      <c r="D43"/>
      <c r="G43" s="18"/>
      <c r="H43" s="2"/>
      <c r="I43" s="2"/>
      <c r="J43" s="2"/>
      <c r="K43" s="2"/>
      <c r="L43" s="2"/>
      <c r="M43" s="2"/>
      <c r="N43" s="2"/>
    </row>
    <row r="44" spans="4:43">
      <c r="D44"/>
      <c r="G44" s="18"/>
      <c r="H44" s="2"/>
      <c r="I44" s="2"/>
      <c r="J44" s="2"/>
      <c r="K44" s="2"/>
      <c r="L44" s="2"/>
      <c r="M44" s="2"/>
      <c r="N44" s="2"/>
    </row>
    <row r="45" spans="4:43">
      <c r="D45"/>
      <c r="G45" s="18"/>
      <c r="H45" s="2"/>
      <c r="I45" s="2"/>
      <c r="J45" s="2"/>
      <c r="K45" s="2"/>
      <c r="L45" s="2"/>
      <c r="M45" s="2"/>
      <c r="N45" s="2"/>
    </row>
    <row r="46" spans="4:43">
      <c r="D46"/>
      <c r="G46" s="18"/>
      <c r="H46" s="2"/>
      <c r="I46" s="2"/>
      <c r="J46" s="2"/>
      <c r="K46" s="2"/>
      <c r="L46" s="2"/>
      <c r="M46" s="2"/>
      <c r="N46" s="2"/>
    </row>
    <row r="47" spans="4:43">
      <c r="D47"/>
      <c r="G47" s="18"/>
      <c r="H47" s="2"/>
      <c r="I47" s="2"/>
      <c r="J47" s="2"/>
      <c r="K47" s="2"/>
      <c r="L47" s="2"/>
      <c r="M47" s="2"/>
      <c r="N47" s="2"/>
    </row>
    <row r="48" spans="4:43">
      <c r="D48"/>
      <c r="G48" s="18"/>
      <c r="H48" s="2"/>
      <c r="I48" s="2"/>
      <c r="J48" s="2"/>
      <c r="K48" s="2"/>
      <c r="L48" s="2"/>
      <c r="M48" s="2"/>
      <c r="N48" s="2"/>
    </row>
    <row r="49" spans="4:14">
      <c r="D49"/>
      <c r="G49" s="18"/>
      <c r="H49" s="2"/>
      <c r="I49" s="2"/>
      <c r="J49" s="2"/>
      <c r="K49" s="2"/>
      <c r="L49" s="2"/>
      <c r="M49" s="2"/>
      <c r="N49" s="2"/>
    </row>
    <row r="50" spans="4:14">
      <c r="D50"/>
      <c r="G50" s="18"/>
      <c r="H50" s="2"/>
      <c r="I50" s="2"/>
      <c r="J50" s="2"/>
      <c r="K50" s="2"/>
      <c r="L50" s="2"/>
      <c r="M50" s="2"/>
      <c r="N50" s="2"/>
    </row>
    <row r="51" spans="4:14">
      <c r="D51"/>
      <c r="G51" s="18"/>
      <c r="H51" s="2"/>
      <c r="I51" s="2"/>
      <c r="J51" s="2"/>
      <c r="K51" s="2"/>
      <c r="L51" s="2"/>
      <c r="M51" s="2"/>
      <c r="N51" s="2"/>
    </row>
    <row r="52" spans="4:14">
      <c r="D52"/>
      <c r="G52" s="18"/>
      <c r="H52" s="2"/>
      <c r="I52" s="2"/>
      <c r="J52" s="2"/>
      <c r="K52" s="2"/>
      <c r="L52" s="2"/>
      <c r="M52" s="2"/>
      <c r="N52" s="2"/>
    </row>
    <row r="53" spans="4:14">
      <c r="D53"/>
      <c r="G53" s="18"/>
      <c r="H53" s="2"/>
      <c r="I53" s="2"/>
      <c r="J53" s="2"/>
      <c r="K53" s="2"/>
      <c r="L53" s="2"/>
      <c r="M53" s="2"/>
      <c r="N53" s="2"/>
    </row>
    <row r="54" spans="4:14">
      <c r="D54"/>
      <c r="G54" s="18"/>
      <c r="H54" s="2"/>
      <c r="I54" s="2"/>
      <c r="J54" s="2"/>
      <c r="K54" s="2"/>
      <c r="L54" s="2"/>
      <c r="M54" s="2"/>
      <c r="N54" s="2"/>
    </row>
    <row r="55" spans="4:14">
      <c r="D55"/>
      <c r="G55" s="18"/>
      <c r="H55" s="2"/>
      <c r="I55" s="2"/>
      <c r="J55" s="2"/>
      <c r="K55" s="2"/>
      <c r="L55" s="2"/>
      <c r="M55" s="2"/>
      <c r="N55" s="2"/>
    </row>
    <row r="56" spans="4:14">
      <c r="D56"/>
      <c r="G56" s="18"/>
      <c r="H56" s="2"/>
      <c r="I56" s="2"/>
      <c r="J56" s="2"/>
      <c r="K56" s="2"/>
      <c r="L56" s="2"/>
      <c r="M56" s="2"/>
      <c r="N56" s="2"/>
    </row>
    <row r="57" spans="4:14">
      <c r="D57"/>
      <c r="G57" s="18"/>
      <c r="H57" s="2"/>
      <c r="I57" s="2"/>
      <c r="J57" s="2"/>
      <c r="K57" s="2"/>
      <c r="L57" s="2"/>
      <c r="M57" s="2"/>
      <c r="N57" s="2"/>
    </row>
    <row r="58" spans="4:14">
      <c r="D58"/>
      <c r="G58" s="18"/>
      <c r="H58" s="2"/>
      <c r="I58" s="2"/>
      <c r="J58" s="2"/>
      <c r="K58" s="2"/>
      <c r="L58" s="2"/>
      <c r="M58" s="2"/>
      <c r="N58" s="2"/>
    </row>
    <row r="59" spans="4:14">
      <c r="D59"/>
      <c r="G59" s="18"/>
      <c r="H59" s="2"/>
      <c r="I59" s="2"/>
      <c r="J59" s="2"/>
      <c r="K59" s="2"/>
      <c r="L59" s="2"/>
      <c r="M59" s="2"/>
      <c r="N59" s="2"/>
    </row>
    <row r="60" spans="4:14">
      <c r="D60"/>
      <c r="G60" s="18"/>
      <c r="H60" s="2"/>
      <c r="I60" s="2"/>
      <c r="J60" s="2"/>
      <c r="K60" s="2"/>
      <c r="L60" s="2"/>
      <c r="M60" s="2"/>
      <c r="N60" s="2"/>
    </row>
    <row r="61" spans="4:14">
      <c r="D61"/>
      <c r="G61" s="18"/>
      <c r="H61" s="2"/>
      <c r="I61" s="2"/>
      <c r="J61" s="2"/>
      <c r="K61" s="2"/>
      <c r="L61" s="2"/>
      <c r="M61" s="2"/>
      <c r="N61" s="2"/>
    </row>
    <row r="62" spans="4:14">
      <c r="D62"/>
      <c r="G62" s="18"/>
      <c r="H62" s="2"/>
      <c r="I62" s="2"/>
      <c r="J62" s="2"/>
      <c r="K62" s="2"/>
      <c r="L62" s="2"/>
      <c r="M62" s="2"/>
      <c r="N62" s="2"/>
    </row>
    <row r="63" spans="4:14">
      <c r="D63"/>
      <c r="G63" s="18"/>
      <c r="H63" s="2"/>
      <c r="I63" s="2"/>
      <c r="J63" s="2"/>
      <c r="K63" s="2"/>
      <c r="L63" s="2"/>
      <c r="M63" s="2"/>
      <c r="N63" s="2"/>
    </row>
    <row r="64" spans="4:14">
      <c r="E64" s="2"/>
      <c r="F64" s="2"/>
      <c r="G64" s="2"/>
      <c r="H64" s="2"/>
      <c r="I64" s="2"/>
      <c r="J64" s="2"/>
      <c r="K64" s="2"/>
    </row>
    <row r="65" spans="5:11">
      <c r="E65" s="2"/>
      <c r="F65" s="2"/>
      <c r="G65" s="2"/>
      <c r="H65" s="2"/>
      <c r="I65" s="2"/>
      <c r="J65" s="2"/>
      <c r="K65" s="2"/>
    </row>
    <row r="66" spans="5:11">
      <c r="E66" s="2"/>
      <c r="F66" s="2"/>
      <c r="G66" s="2"/>
      <c r="H66" s="2"/>
      <c r="I66" s="2"/>
      <c r="J66" s="2"/>
      <c r="K66" s="2"/>
    </row>
    <row r="67" spans="5:11">
      <c r="E67" s="2"/>
      <c r="F67" s="2"/>
      <c r="G67" s="2"/>
      <c r="H67" s="2"/>
      <c r="I67" s="2"/>
      <c r="J67" s="2"/>
      <c r="K67" s="2"/>
    </row>
    <row r="68" spans="5:11">
      <c r="E68" s="2"/>
      <c r="F68" s="2"/>
      <c r="G68" s="2"/>
      <c r="H68" s="2"/>
      <c r="I68" s="2"/>
      <c r="J68" s="2"/>
      <c r="K68" s="2"/>
    </row>
    <row r="69" spans="5:11">
      <c r="E69" s="2"/>
      <c r="F69" s="2"/>
      <c r="G69" s="2"/>
      <c r="H69" s="2"/>
      <c r="I69" s="2"/>
      <c r="J69" s="2"/>
      <c r="K69" s="2"/>
    </row>
    <row r="70" spans="5:11">
      <c r="E70" s="2"/>
      <c r="F70" s="2"/>
      <c r="G70" s="2"/>
      <c r="H70" s="2"/>
      <c r="I70" s="2"/>
      <c r="J70" s="2"/>
      <c r="K70" s="2"/>
    </row>
    <row r="71" spans="5:11">
      <c r="E71" s="2"/>
      <c r="F71" s="2"/>
      <c r="G71" s="2"/>
      <c r="H71" s="2"/>
      <c r="I71" s="2"/>
      <c r="J71" s="2"/>
      <c r="K71" s="2"/>
    </row>
    <row r="72" spans="5:11">
      <c r="E72" s="2"/>
      <c r="F72" s="2"/>
      <c r="G72" s="2"/>
      <c r="H72" s="2"/>
      <c r="I72" s="2"/>
      <c r="J72" s="2"/>
      <c r="K72" s="2"/>
    </row>
    <row r="73" spans="5:11">
      <c r="E73" s="2"/>
      <c r="F73" s="2"/>
      <c r="G73" s="2"/>
      <c r="H73" s="2"/>
      <c r="I73" s="2"/>
      <c r="J73" s="2"/>
      <c r="K73" s="2"/>
    </row>
    <row r="74" spans="5:11">
      <c r="E74" s="2"/>
      <c r="F74" s="2"/>
      <c r="G74" s="2"/>
      <c r="H74" s="2"/>
      <c r="I74" s="2"/>
      <c r="J74" s="2"/>
      <c r="K74" s="2"/>
    </row>
    <row r="75" spans="5:11">
      <c r="E75" s="2"/>
      <c r="F75" s="2"/>
      <c r="G75" s="2"/>
      <c r="H75" s="2"/>
      <c r="I75" s="2"/>
      <c r="J75" s="2"/>
      <c r="K75" s="2"/>
    </row>
    <row r="76" spans="5:11">
      <c r="E76" s="2"/>
      <c r="F76" s="2"/>
      <c r="G76" s="2"/>
      <c r="H76" s="2"/>
      <c r="I76" s="2"/>
      <c r="J76" s="2"/>
      <c r="K76" s="2"/>
    </row>
    <row r="77" spans="5:11">
      <c r="E77" s="2"/>
      <c r="F77" s="2"/>
      <c r="G77" s="2"/>
      <c r="H77" s="2"/>
      <c r="I77" s="2"/>
      <c r="J77" s="2"/>
      <c r="K77" s="2"/>
    </row>
    <row r="78" spans="5:11">
      <c r="E78" s="2"/>
      <c r="F78" s="2"/>
      <c r="G78" s="2"/>
      <c r="H78" s="2"/>
      <c r="I78" s="2"/>
      <c r="J78" s="2"/>
      <c r="K78" s="2"/>
    </row>
    <row r="79" spans="5:11">
      <c r="E79" s="2"/>
      <c r="F79" s="2"/>
      <c r="G79" s="2"/>
      <c r="H79" s="2"/>
      <c r="I79" s="2"/>
      <c r="J79" s="2"/>
      <c r="K79" s="2"/>
    </row>
    <row r="80" spans="5:11">
      <c r="E80" s="2"/>
      <c r="F80" s="2"/>
      <c r="G80" s="2"/>
      <c r="H80" s="2"/>
      <c r="I80" s="2"/>
      <c r="J80" s="2"/>
      <c r="K80" s="2"/>
    </row>
    <row r="81" spans="5:11">
      <c r="E81" s="2"/>
      <c r="F81" s="2"/>
      <c r="G81" s="2"/>
      <c r="H81" s="2"/>
      <c r="I81" s="2"/>
      <c r="J81" s="2"/>
      <c r="K81" s="2"/>
    </row>
    <row r="82" spans="5:11">
      <c r="E82" s="2"/>
      <c r="F82" s="2"/>
      <c r="G82" s="2"/>
      <c r="H82" s="2"/>
      <c r="I82" s="2"/>
      <c r="J82" s="2"/>
      <c r="K82" s="2"/>
    </row>
    <row r="83" spans="5:11">
      <c r="E83" s="2"/>
      <c r="F83" s="2"/>
      <c r="G83" s="2"/>
      <c r="H83" s="2"/>
      <c r="I83" s="2"/>
      <c r="J83" s="2"/>
      <c r="K83" s="2"/>
    </row>
    <row r="84" spans="5:11">
      <c r="E84" s="2"/>
      <c r="F84" s="2"/>
      <c r="G84" s="2"/>
      <c r="H84" s="2"/>
      <c r="I84" s="2"/>
      <c r="J84" s="2"/>
      <c r="K84" s="2"/>
    </row>
    <row r="85" spans="5:11">
      <c r="E85" s="2"/>
      <c r="F85" s="2"/>
      <c r="G85" s="2"/>
      <c r="H85" s="2"/>
      <c r="I85" s="2"/>
      <c r="J85" s="2"/>
      <c r="K85" s="2"/>
    </row>
    <row r="86" spans="5:11">
      <c r="E86" s="2"/>
      <c r="F86" s="2"/>
      <c r="G86" s="2"/>
      <c r="H86" s="2"/>
      <c r="I86" s="2"/>
      <c r="J86" s="2"/>
      <c r="K86" s="2"/>
    </row>
    <row r="87" spans="5:11">
      <c r="E87" s="2"/>
      <c r="F87" s="2"/>
      <c r="G87" s="2"/>
      <c r="H87" s="2"/>
      <c r="I87" s="2"/>
      <c r="J87" s="2"/>
      <c r="K87" s="2"/>
    </row>
    <row r="88" spans="5:11">
      <c r="E88" s="2"/>
      <c r="F88" s="2"/>
      <c r="G88" s="2"/>
      <c r="H88" s="2"/>
      <c r="I88" s="2"/>
      <c r="J88" s="2"/>
      <c r="K88" s="2"/>
    </row>
    <row r="89" spans="5:11">
      <c r="E89" s="2"/>
      <c r="F89" s="2"/>
      <c r="G89" s="2"/>
      <c r="H89" s="2"/>
      <c r="I89" s="2"/>
      <c r="J89" s="2"/>
      <c r="K89" s="2"/>
    </row>
    <row r="90" spans="5:11">
      <c r="E90" s="2"/>
      <c r="F90" s="2"/>
      <c r="G90" s="2"/>
      <c r="H90" s="2"/>
      <c r="I90" s="2"/>
      <c r="J90" s="2"/>
      <c r="K90" s="2"/>
    </row>
    <row r="91" spans="5:11">
      <c r="E91" s="2"/>
      <c r="F91" s="2"/>
      <c r="G91" s="2"/>
      <c r="H91" s="2"/>
      <c r="I91" s="2"/>
      <c r="J91" s="2"/>
      <c r="K91" s="2"/>
    </row>
    <row r="92" spans="5:11">
      <c r="E92" s="2"/>
      <c r="F92" s="2"/>
      <c r="G92" s="2"/>
      <c r="H92" s="2"/>
      <c r="I92" s="2"/>
      <c r="J92" s="2"/>
      <c r="K92" s="2"/>
    </row>
    <row r="93" spans="5:11">
      <c r="E93" s="2"/>
      <c r="F93" s="2"/>
      <c r="G93" s="2"/>
      <c r="H93" s="2"/>
      <c r="I93" s="2"/>
      <c r="J93" s="2"/>
      <c r="K93" s="2"/>
    </row>
    <row r="94" spans="5:11">
      <c r="E94" s="2"/>
      <c r="F94" s="2"/>
      <c r="G94" s="2"/>
      <c r="H94" s="2"/>
      <c r="I94" s="2"/>
      <c r="J94" s="2"/>
      <c r="K94" s="2"/>
    </row>
    <row r="95" spans="5:11">
      <c r="E95" s="2"/>
      <c r="F95" s="2"/>
      <c r="G95" s="2"/>
      <c r="H95" s="2"/>
      <c r="I95" s="2"/>
      <c r="J95" s="2"/>
      <c r="K95" s="2"/>
    </row>
    <row r="96" spans="5:11">
      <c r="E96" s="2"/>
      <c r="F96" s="2"/>
      <c r="G96" s="2"/>
      <c r="H96" s="2"/>
      <c r="I96" s="2"/>
      <c r="J96" s="2"/>
      <c r="K96" s="2"/>
    </row>
    <row r="97" spans="5:11">
      <c r="E97" s="2"/>
      <c r="F97" s="2"/>
      <c r="G97" s="2"/>
      <c r="H97" s="2"/>
      <c r="I97" s="2"/>
      <c r="J97" s="2"/>
      <c r="K97" s="2"/>
    </row>
    <row r="98" spans="5:11">
      <c r="E98" s="2"/>
      <c r="F98" s="2"/>
      <c r="G98" s="2"/>
      <c r="H98" s="2"/>
      <c r="I98" s="2"/>
      <c r="J98" s="2"/>
      <c r="K98" s="2"/>
    </row>
    <row r="99" spans="5:11">
      <c r="E99" s="2"/>
      <c r="F99" s="2"/>
      <c r="G99" s="2"/>
      <c r="H99" s="2"/>
      <c r="I99" s="2"/>
      <c r="J99" s="2"/>
      <c r="K99" s="2"/>
    </row>
    <row r="100" spans="5:11">
      <c r="E100" s="2"/>
      <c r="F100" s="2"/>
      <c r="G100" s="2"/>
      <c r="H100" s="2"/>
      <c r="I100" s="2"/>
      <c r="J100" s="2"/>
      <c r="K100" s="2"/>
    </row>
    <row r="101" spans="5:11">
      <c r="E101" s="2"/>
      <c r="F101" s="2"/>
      <c r="G101" s="2"/>
      <c r="H101" s="2"/>
      <c r="I101" s="2"/>
      <c r="J101" s="2"/>
      <c r="K101" s="2"/>
    </row>
    <row r="102" spans="5:11">
      <c r="E102" s="2"/>
      <c r="F102" s="2"/>
      <c r="G102" s="2"/>
      <c r="H102" s="2"/>
      <c r="I102" s="2"/>
      <c r="J102" s="2"/>
      <c r="K102" s="2"/>
    </row>
    <row r="103" spans="5:11">
      <c r="E103" s="2"/>
      <c r="F103" s="2"/>
      <c r="G103" s="2"/>
      <c r="H103" s="2"/>
      <c r="I103" s="2"/>
      <c r="J103" s="2"/>
      <c r="K103" s="2"/>
    </row>
    <row r="104" spans="5:11">
      <c r="E104" s="2"/>
      <c r="F104" s="2"/>
      <c r="G104" s="2"/>
      <c r="H104" s="2"/>
      <c r="I104" s="2"/>
      <c r="J104" s="2"/>
      <c r="K104" s="2"/>
    </row>
    <row r="105" spans="5:11">
      <c r="E105" s="2"/>
      <c r="F105" s="2"/>
      <c r="G105" s="2"/>
      <c r="H105" s="2"/>
      <c r="I105" s="2"/>
      <c r="J105" s="2"/>
      <c r="K105" s="2"/>
    </row>
    <row r="106" spans="5:11">
      <c r="E106" s="2"/>
      <c r="F106" s="2"/>
      <c r="G106" s="2"/>
      <c r="H106" s="2"/>
      <c r="I106" s="2"/>
      <c r="J106" s="2"/>
      <c r="K106" s="2"/>
    </row>
    <row r="107" spans="5:11">
      <c r="E107" s="2"/>
      <c r="F107" s="2"/>
      <c r="G107" s="2"/>
      <c r="H107" s="2"/>
      <c r="I107" s="2"/>
      <c r="J107" s="2"/>
      <c r="K107" s="2"/>
    </row>
    <row r="108" spans="5:11">
      <c r="E108" s="2"/>
      <c r="F108" s="2"/>
      <c r="G108" s="2"/>
      <c r="H108" s="2"/>
      <c r="I108" s="2"/>
      <c r="J108" s="2"/>
      <c r="K108" s="2"/>
    </row>
    <row r="109" spans="5:11">
      <c r="E109" s="2"/>
      <c r="F109" s="2"/>
      <c r="G109" s="2"/>
      <c r="H109" s="2"/>
      <c r="I109" s="2"/>
      <c r="J109" s="2"/>
      <c r="K109" s="2"/>
    </row>
    <row r="110" spans="5:11">
      <c r="E110" s="2"/>
      <c r="F110" s="2"/>
      <c r="G110" s="2"/>
      <c r="H110" s="2"/>
      <c r="I110" s="2"/>
      <c r="J110" s="2"/>
      <c r="K110" s="2"/>
    </row>
    <row r="111" spans="5:11">
      <c r="E111" s="2"/>
      <c r="F111" s="2"/>
      <c r="G111" s="2"/>
      <c r="H111" s="2"/>
      <c r="I111" s="2"/>
      <c r="J111" s="2"/>
      <c r="K111" s="2"/>
    </row>
    <row r="112" spans="5:11">
      <c r="E112" s="2"/>
      <c r="F112" s="2"/>
      <c r="G112" s="2"/>
      <c r="H112" s="2"/>
      <c r="I112" s="2"/>
      <c r="J112" s="2"/>
      <c r="K112" s="2"/>
    </row>
    <row r="113" spans="5:11">
      <c r="E113" s="2"/>
      <c r="F113" s="2"/>
      <c r="G113" s="2"/>
      <c r="H113" s="2"/>
      <c r="I113" s="2"/>
      <c r="J113" s="2"/>
      <c r="K113" s="2"/>
    </row>
    <row r="114" spans="5:11">
      <c r="E114" s="2"/>
      <c r="F114" s="2"/>
      <c r="G114" s="2"/>
      <c r="H114" s="2"/>
      <c r="I114" s="2"/>
      <c r="J114" s="2"/>
      <c r="K114" s="2"/>
    </row>
    <row r="115" spans="5:11">
      <c r="E115" s="2"/>
      <c r="F115" s="2"/>
      <c r="G115" s="2"/>
      <c r="H115" s="2"/>
      <c r="I115" s="2"/>
      <c r="J115" s="2"/>
      <c r="K115" s="2"/>
    </row>
    <row r="116" spans="5:11">
      <c r="E116" s="2"/>
      <c r="F116" s="2"/>
      <c r="G116" s="2"/>
      <c r="H116" s="2"/>
      <c r="I116" s="2"/>
      <c r="J116" s="2"/>
      <c r="K116" s="2"/>
    </row>
    <row r="117" spans="5:11">
      <c r="E117" s="2"/>
      <c r="F117" s="2"/>
      <c r="G117" s="2"/>
      <c r="H117" s="2"/>
      <c r="I117" s="2"/>
      <c r="J117" s="2"/>
      <c r="K117" s="2"/>
    </row>
    <row r="118" spans="5:11">
      <c r="E118" s="2"/>
      <c r="F118" s="2"/>
      <c r="G118" s="2"/>
      <c r="H118" s="2"/>
      <c r="I118" s="2"/>
      <c r="J118" s="2"/>
      <c r="K118" s="2"/>
    </row>
    <row r="119" spans="5:11">
      <c r="E119" s="2"/>
      <c r="F119" s="2"/>
      <c r="G119" s="2"/>
      <c r="H119" s="2"/>
      <c r="I119" s="2"/>
      <c r="J119" s="2"/>
      <c r="K119" s="2"/>
    </row>
    <row r="120" spans="5:11">
      <c r="E120" s="2"/>
      <c r="F120" s="2"/>
      <c r="G120" s="2"/>
      <c r="H120" s="2"/>
      <c r="I120" s="2"/>
      <c r="J120" s="2"/>
      <c r="K120" s="2"/>
    </row>
    <row r="121" spans="5:11">
      <c r="E121" s="2"/>
      <c r="F121" s="2"/>
      <c r="G121" s="2"/>
      <c r="H121" s="2"/>
      <c r="I121" s="2"/>
      <c r="J121" s="2"/>
      <c r="K121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HW prob 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Phil</cp:lastModifiedBy>
  <dcterms:created xsi:type="dcterms:W3CDTF">2014-03-17T16:25:11Z</dcterms:created>
  <dcterms:modified xsi:type="dcterms:W3CDTF">2022-06-16T20:50:27Z</dcterms:modified>
</cp:coreProperties>
</file>